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P:\proj2019\127440SG2019_BeechtreeDrain\Design\Comp of Cost\"/>
    </mc:Choice>
  </mc:AlternateContent>
  <xr:revisionPtr revIDLastSave="0" documentId="8_{2E062DB8-A5C6-4A07-A51A-1E047941839F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Computation of Costs" sheetId="1" r:id="rId1"/>
    <sheet name="Sheet1" sheetId="2" r:id="rId2"/>
  </sheets>
  <definedNames>
    <definedName name="Land_Use">#REF!</definedName>
    <definedName name="names_2006">#REF!</definedName>
    <definedName name="_xlnm.Print_Area" localSheetId="0">'Computation of Costs'!$A$1:$K$65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4" i="1" l="1"/>
  <c r="K41" i="1"/>
  <c r="K23" i="1"/>
  <c r="L48" i="1" l="1"/>
  <c r="L49" i="1"/>
  <c r="L47" i="1"/>
  <c r="M57" i="1"/>
  <c r="M29" i="1"/>
  <c r="M28" i="1"/>
  <c r="H37" i="1"/>
  <c r="K46" i="1"/>
  <c r="H14" i="1"/>
  <c r="L28" i="1" l="1"/>
  <c r="L29" i="1"/>
  <c r="L27" i="1"/>
  <c r="L21" i="1"/>
  <c r="L44" i="1"/>
  <c r="L45" i="1"/>
  <c r="L46" i="1"/>
  <c r="L16" i="1"/>
  <c r="L17" i="1"/>
  <c r="M37" i="1"/>
  <c r="O37" i="1" s="1"/>
  <c r="H15" i="1"/>
  <c r="K26" i="1"/>
  <c r="H17" i="1"/>
  <c r="K45" i="1"/>
  <c r="L64" i="1" l="1"/>
  <c r="M33" i="1"/>
  <c r="M49" i="1"/>
  <c r="D27" i="2"/>
  <c r="M50" i="1" l="1"/>
  <c r="A9" i="1"/>
  <c r="A11" i="1" s="1"/>
  <c r="A25" i="1" s="1"/>
  <c r="A34" i="1" s="1"/>
  <c r="A36" i="1" s="1"/>
  <c r="A43" i="1" l="1"/>
  <c r="A52" i="1" s="1"/>
  <c r="K54" i="1"/>
  <c r="K55" i="1" s="1"/>
  <c r="K56" i="1" l="1"/>
  <c r="K58" i="1" l="1"/>
  <c r="M56" i="1"/>
  <c r="M58" i="1" l="1"/>
  <c r="M64" i="1" l="1"/>
  <c r="L66" i="1"/>
  <c r="L68" i="1" s="1"/>
  <c r="L69" i="1" s="1"/>
</calcChain>
</file>

<file path=xl/sharedStrings.xml><?xml version="1.0" encoding="utf-8"?>
<sst xmlns="http://schemas.openxmlformats.org/spreadsheetml/2006/main" count="73" uniqueCount="72">
  <si>
    <t>PRELIMINARY COMPUTATION OF COST</t>
  </si>
  <si>
    <t>In The Matter Of:</t>
  </si>
  <si>
    <t>Preliminary Design</t>
  </si>
  <si>
    <t xml:space="preserve">Construction Documents, Bidding, and Day of Review </t>
  </si>
  <si>
    <t>Postage, Day Of Review Notices</t>
  </si>
  <si>
    <t>Construction Administration</t>
  </si>
  <si>
    <t>Construction Staking</t>
  </si>
  <si>
    <t>As-Built Drawings</t>
  </si>
  <si>
    <t>As-Built Survey</t>
  </si>
  <si>
    <t>Gross Sum Of Expenses</t>
  </si>
  <si>
    <t>Contingent Expenses (Includes Bond Discount)</t>
  </si>
  <si>
    <t>Total Computed Cost Of Constructing Drain</t>
  </si>
  <si>
    <t>TOTAL TO BE ASSESSED -----------------------------------------------------------------------------------------------------------</t>
  </si>
  <si>
    <t>Less Pre Paid Assessment--------------------------------------------------------------------------------------------------------</t>
  </si>
  <si>
    <t>TOTAL AMOUNT TO BE BORROWED -----------------------------------------------------------------------------------------------------</t>
  </si>
  <si>
    <t>OTTAWA COUNTY, MI</t>
  </si>
  <si>
    <t>Compensation Paid Board Of Determination</t>
  </si>
  <si>
    <t>Engineering, Design</t>
  </si>
  <si>
    <t>Easement Acquisition</t>
  </si>
  <si>
    <t>Other Expenses</t>
  </si>
  <si>
    <t>Cost Of Inspection, Construction Engineering &amp; Material Testing</t>
  </si>
  <si>
    <t>Publishing Notices</t>
  </si>
  <si>
    <t>Maint</t>
  </si>
  <si>
    <t>Invoice No</t>
  </si>
  <si>
    <t>Total</t>
  </si>
  <si>
    <t>BEECHTREE DRAIN</t>
  </si>
  <si>
    <t>Study and Report/Boundary 197</t>
  </si>
  <si>
    <t>Soil Borings</t>
  </si>
  <si>
    <t>Emergency Response Coordination</t>
  </si>
  <si>
    <t>Emergency Pumping</t>
  </si>
  <si>
    <t>Construction Inspection - Timber Dunes</t>
  </si>
  <si>
    <t>PLF To talk to House</t>
  </si>
  <si>
    <t>3000 from Timber Dunes and 4500 from Pump Station</t>
  </si>
  <si>
    <t>15000 from Timber Dunes and 15000 Pump Station</t>
  </si>
  <si>
    <t>10000 from FD</t>
  </si>
  <si>
    <t>Contracts For Construction</t>
  </si>
  <si>
    <t>Fence/Sprinkler System Allowance</t>
  </si>
  <si>
    <t>Timber Dunes Storm Sewer</t>
  </si>
  <si>
    <t>Timber Dunes Open Ditch</t>
  </si>
  <si>
    <t>Quantum</t>
  </si>
  <si>
    <t>Randy Meyer</t>
  </si>
  <si>
    <t>Open Ditch Maintenance</t>
  </si>
  <si>
    <t>4000 from SR/197</t>
  </si>
  <si>
    <t>South Pump Installation</t>
  </si>
  <si>
    <t>Consumers Construction</t>
  </si>
  <si>
    <t>Pump Station Construction</t>
  </si>
  <si>
    <t>Superior Golf Concepts &amp; 3000 for Electrician</t>
  </si>
  <si>
    <t>DeWind + Quantum Mob &amp; Demob</t>
  </si>
  <si>
    <t>McGilley's</t>
  </si>
  <si>
    <t>Drain Office Adminstration &amp; Legal</t>
  </si>
  <si>
    <t>??</t>
  </si>
  <si>
    <t>For FSBR</t>
  </si>
  <si>
    <t>For Drain Office Admin</t>
  </si>
  <si>
    <t>Final Design</t>
  </si>
  <si>
    <t>Cost Of Laying Out And Designating Drainage District (BOD Preparation)</t>
  </si>
  <si>
    <t>Revised Gravity Drainage Solution</t>
  </si>
  <si>
    <t>Construction Inspection - Clubhouse Outlet</t>
  </si>
  <si>
    <t>Clubhouse Outlet</t>
  </si>
  <si>
    <t>Make up.</t>
  </si>
  <si>
    <t>Interconnecting Storage Basins</t>
  </si>
  <si>
    <t>MDOT</t>
  </si>
  <si>
    <t>Supplemental</t>
  </si>
  <si>
    <t>MDOT Supplmental %</t>
  </si>
  <si>
    <t>MDOT 14A %</t>
  </si>
  <si>
    <t>MDOT Total Percent</t>
  </si>
  <si>
    <t>MDOT Estimated Total</t>
  </si>
  <si>
    <t>Bonding Legal</t>
  </si>
  <si>
    <t>Future Maintenance and Pump Operation</t>
  </si>
  <si>
    <t>Cost of Appeal</t>
  </si>
  <si>
    <t>American Dunes</t>
  </si>
  <si>
    <t>Others?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</si>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</sst>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\(0\)"/>
    <numFmt numFmtId="166" formatCode="&quot;$&quot;#,##0.00"/>
  </numFmts>
  <fonts count="1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6100"/>
      <name val="Times New Roman"/>
      <family val="2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9" fontId="8" fillId="0" borderId="0" applyFont="0" applyFill="0" applyBorder="0" applyAlignment="0" applyProtection="0"/>
    <xf numFmtId="0" fontId="13" fillId="2" borderId="0" applyNumberFormat="0" applyBorder="0" applyAlignment="0" applyProtection="0"/>
    <xf numFmtId="9" fontId="17" fillId="0" borderId="0" applyFont="0" applyFill="0" applyBorder="0" applyAlignment="0" applyProtection="0"/>
  </cellStyleXfs>
  <cellXfs count="48">
    <xf numFmtId="0" fontId="0" fillId="0" borderId="0" xfId="0"/>
    <xf numFmtId="0" fontId="11" fillId="0" borderId="0" xfId="1" applyFont="1"/>
    <xf numFmtId="44" fontId="12" fillId="0" borderId="0" xfId="1" applyNumberFormat="1" applyFont="1" applyFill="1"/>
    <xf numFmtId="44" fontId="10" fillId="0" borderId="0" xfId="1" applyNumberFormat="1" applyFont="1"/>
    <xf numFmtId="44" fontId="12" fillId="0" borderId="0" xfId="1" applyNumberFormat="1" applyFont="1" applyFill="1" applyAlignment="1">
      <alignment horizontal="center"/>
    </xf>
    <xf numFmtId="44" fontId="11" fillId="0" borderId="0" xfId="1" applyNumberFormat="1" applyFont="1"/>
    <xf numFmtId="44" fontId="11" fillId="0" borderId="0" xfId="1" applyNumberFormat="1" applyFont="1" applyFill="1"/>
    <xf numFmtId="0" fontId="14" fillId="0" borderId="0" xfId="0" applyFont="1"/>
    <xf numFmtId="166" fontId="14" fillId="0" borderId="0" xfId="0" applyNumberFormat="1" applyFont="1"/>
    <xf numFmtId="0" fontId="14" fillId="0" borderId="0" xfId="0" applyNumberFormat="1" applyFont="1"/>
    <xf numFmtId="0" fontId="15" fillId="0" borderId="0" xfId="0" applyFont="1" applyFill="1" applyBorder="1" applyAlignment="1"/>
    <xf numFmtId="44" fontId="16" fillId="2" borderId="0" xfId="3" applyNumberFormat="1" applyFont="1"/>
    <xf numFmtId="10" fontId="12" fillId="0" borderId="0" xfId="2" applyNumberFormat="1" applyFont="1"/>
    <xf numFmtId="166" fontId="13" fillId="2" borderId="0" xfId="3" applyNumberFormat="1"/>
    <xf numFmtId="166" fontId="0" fillId="0" borderId="0" xfId="0" applyNumberFormat="1"/>
    <xf numFmtId="0" fontId="7" fillId="0" borderId="0" xfId="1" applyFont="1"/>
    <xf numFmtId="44" fontId="7" fillId="0" borderId="0" xfId="1" applyNumberFormat="1" applyFont="1"/>
    <xf numFmtId="44" fontId="7" fillId="0" borderId="0" xfId="1" applyNumberFormat="1" applyFont="1" applyFill="1"/>
    <xf numFmtId="44" fontId="16" fillId="2" borderId="1" xfId="3" applyNumberFormat="1" applyFont="1" applyBorder="1"/>
    <xf numFmtId="165" fontId="7" fillId="0" borderId="0" xfId="1" applyNumberFormat="1" applyFont="1" applyAlignment="1">
      <alignment horizontal="center"/>
    </xf>
    <xf numFmtId="44" fontId="16" fillId="0" borderId="0" xfId="3" applyNumberFormat="1" applyFont="1" applyFill="1"/>
    <xf numFmtId="10" fontId="7" fillId="0" borderId="0" xfId="1" applyNumberFormat="1" applyFont="1"/>
    <xf numFmtId="164" fontId="7" fillId="0" borderId="0" xfId="1" applyNumberFormat="1" applyFont="1"/>
    <xf numFmtId="0" fontId="6" fillId="0" borderId="0" xfId="1" applyFont="1"/>
    <xf numFmtId="0" fontId="5" fillId="0" borderId="0" xfId="1" applyFont="1"/>
    <xf numFmtId="0" fontId="4" fillId="0" borderId="0" xfId="1" applyFont="1"/>
    <xf numFmtId="44" fontId="4" fillId="0" borderId="0" xfId="1" applyNumberFormat="1" applyFont="1"/>
    <xf numFmtId="0" fontId="18" fillId="0" borderId="0" xfId="1" applyFont="1"/>
    <xf numFmtId="0" fontId="11" fillId="0" borderId="0" xfId="1" applyFont="1" applyFill="1" applyAlignment="1">
      <alignment horizontal="center"/>
    </xf>
    <xf numFmtId="0" fontId="7" fillId="0" borderId="0" xfId="1" applyFont="1" applyFill="1"/>
    <xf numFmtId="44" fontId="12" fillId="3" borderId="0" xfId="1" applyNumberFormat="1" applyFont="1" applyFill="1"/>
    <xf numFmtId="0" fontId="3" fillId="0" borderId="0" xfId="1" applyFont="1"/>
    <xf numFmtId="44" fontId="3" fillId="0" borderId="0" xfId="1" applyNumberFormat="1" applyFont="1"/>
    <xf numFmtId="10" fontId="7" fillId="0" borderId="0" xfId="4" applyNumberFormat="1" applyFont="1"/>
    <xf numFmtId="44" fontId="12" fillId="0" borderId="1" xfId="1" applyNumberFormat="1" applyFont="1" applyFill="1" applyBorder="1"/>
    <xf numFmtId="44" fontId="11" fillId="0" borderId="0" xfId="1" applyNumberFormat="1" applyFont="1" applyFill="1" applyAlignment="1">
      <alignment horizontal="center"/>
    </xf>
    <xf numFmtId="44" fontId="11" fillId="0" borderId="0" xfId="1" applyNumberFormat="1" applyFont="1" applyFill="1" applyAlignment="1">
      <alignment horizontal="right"/>
    </xf>
    <xf numFmtId="10" fontId="11" fillId="0" borderId="0" xfId="4" applyNumberFormat="1" applyFont="1" applyFill="1"/>
    <xf numFmtId="44" fontId="11" fillId="0" borderId="1" xfId="1" applyNumberFormat="1" applyFont="1" applyFill="1" applyBorder="1" applyAlignment="1">
      <alignment horizontal="right"/>
    </xf>
    <xf numFmtId="10" fontId="11" fillId="0" borderId="1" xfId="4" applyNumberFormat="1" applyFont="1" applyFill="1" applyBorder="1"/>
    <xf numFmtId="10" fontId="11" fillId="0" borderId="0" xfId="1" applyNumberFormat="1" applyFont="1" applyFill="1"/>
    <xf numFmtId="0" fontId="7" fillId="0" borderId="1" xfId="1" applyFont="1" applyBorder="1"/>
    <xf numFmtId="44" fontId="11" fillId="0" borderId="0" xfId="1" applyNumberFormat="1" applyFont="1" applyFill="1" applyBorder="1" applyAlignment="1">
      <alignment horizontal="right"/>
    </xf>
    <xf numFmtId="10" fontId="11" fillId="0" borderId="0" xfId="1" applyNumberFormat="1" applyFont="1" applyFill="1" applyAlignment="1">
      <alignment horizontal="center"/>
    </xf>
    <xf numFmtId="0" fontId="2" fillId="0" borderId="0" xfId="1" applyFont="1"/>
    <xf numFmtId="0" fontId="11" fillId="0" borderId="0" xfId="1" applyFont="1" applyAlignment="1">
      <alignment horizontal="center"/>
    </xf>
    <xf numFmtId="0" fontId="1" fillId="0" borderId="0" xfId="1" applyFont="1"/>
    <xf numFmtId="44" fontId="1" fillId="0" borderId="0" xfId="1" applyNumberFormat="1" applyFont="1" applyFill="1"/>
  </cellXfs>
  <cellStyles count="5">
    <cellStyle name="Good" xfId="3" builtinId="26"/>
    <cellStyle name="Normal" xfId="0" builtinId="0"/>
    <cellStyle name="Normal 16" xfId="1" xr:uid="{00000000-0005-0000-0000-000001000000}"/>
    <cellStyle name="Percent" xfId="4" builtinId="5"/>
    <cellStyle name="Percent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9"/>
  <sheetViews>
    <sheetView tabSelected="1" view="pageBreakPreview" zoomScaleNormal="100" zoomScaleSheetLayoutView="100" workbookViewId="0">
      <selection activeCell="K60" sqref="K60"/>
    </sheetView>
  </sheetViews>
  <sheetFormatPr defaultColWidth="9.140625" defaultRowHeight="15" x14ac:dyDescent="0.25"/>
  <cols>
    <col min="1" max="1" width="5" style="15" customWidth="1"/>
    <col min="2" max="6" width="9.140625" style="15"/>
    <col min="7" max="7" width="10.28515625" style="15" customWidth="1"/>
    <col min="8" max="8" width="16.42578125" style="16" customWidth="1"/>
    <col min="9" max="9" width="10" style="15" customWidth="1"/>
    <col min="10" max="10" width="1.28515625" style="15" customWidth="1"/>
    <col min="11" max="11" width="15.28515625" style="17" bestFit="1" customWidth="1"/>
    <col min="12" max="12" width="15.28515625" style="17" customWidth="1"/>
    <col min="13" max="13" width="15.28515625" style="15" hidden="1" customWidth="1"/>
    <col min="14" max="14" width="14.7109375" style="15" hidden="1" customWidth="1"/>
    <col min="15" max="15" width="12.140625" style="15" hidden="1" customWidth="1"/>
    <col min="16" max="17" width="0" style="15" hidden="1" customWidth="1"/>
    <col min="18" max="19" width="9.140625" style="15"/>
    <col min="20" max="20" width="12.5703125" style="15" bestFit="1" customWidth="1"/>
    <col min="21" max="16384" width="9.140625" style="15"/>
  </cols>
  <sheetData>
    <row r="1" spans="1:13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28"/>
    </row>
    <row r="3" spans="1:13" x14ac:dyDescent="0.25">
      <c r="A3" s="15" t="s">
        <v>1</v>
      </c>
    </row>
    <row r="4" spans="1:13" x14ac:dyDescent="0.25">
      <c r="A4" s="1" t="s">
        <v>25</v>
      </c>
      <c r="L4" s="35" t="s">
        <v>60</v>
      </c>
    </row>
    <row r="5" spans="1:13" x14ac:dyDescent="0.25">
      <c r="A5" s="1" t="s">
        <v>15</v>
      </c>
      <c r="L5" s="35" t="s">
        <v>61</v>
      </c>
    </row>
    <row r="6" spans="1:13" x14ac:dyDescent="0.25">
      <c r="L6" s="43"/>
    </row>
    <row r="7" spans="1:13" x14ac:dyDescent="0.25">
      <c r="A7" s="19">
        <v>1</v>
      </c>
      <c r="B7" s="25" t="s">
        <v>54</v>
      </c>
      <c r="K7" s="11">
        <v>4000</v>
      </c>
      <c r="L7" s="20"/>
      <c r="M7" s="15" t="s">
        <v>42</v>
      </c>
    </row>
    <row r="8" spans="1:13" x14ac:dyDescent="0.25">
      <c r="A8" s="19"/>
    </row>
    <row r="9" spans="1:13" x14ac:dyDescent="0.25">
      <c r="A9" s="19">
        <f>+A7+1</f>
        <v>2</v>
      </c>
      <c r="B9" s="15" t="s">
        <v>16</v>
      </c>
      <c r="K9" s="11">
        <v>1000</v>
      </c>
      <c r="L9" s="20"/>
      <c r="M9" s="24" t="s">
        <v>50</v>
      </c>
    </row>
    <row r="10" spans="1:13" x14ac:dyDescent="0.25">
      <c r="A10" s="19"/>
      <c r="M10" s="33">
        <v>0.1234</v>
      </c>
    </row>
    <row r="11" spans="1:13" x14ac:dyDescent="0.25">
      <c r="A11" s="19">
        <f>+A9+1</f>
        <v>3</v>
      </c>
      <c r="B11" s="15" t="s">
        <v>35</v>
      </c>
      <c r="H11" s="20"/>
    </row>
    <row r="12" spans="1:13" x14ac:dyDescent="0.25">
      <c r="A12" s="19"/>
      <c r="D12" s="15" t="s">
        <v>36</v>
      </c>
      <c r="H12" s="11">
        <v>4000</v>
      </c>
      <c r="K12" s="2"/>
      <c r="L12" s="2"/>
    </row>
    <row r="13" spans="1:13" x14ac:dyDescent="0.25">
      <c r="A13" s="19"/>
      <c r="D13" s="15" t="s">
        <v>41</v>
      </c>
      <c r="H13" s="11">
        <v>5000</v>
      </c>
      <c r="I13" s="29"/>
      <c r="K13" s="2"/>
      <c r="L13" s="30">
        <v>4000</v>
      </c>
      <c r="M13" s="23" t="s">
        <v>48</v>
      </c>
    </row>
    <row r="14" spans="1:13" x14ac:dyDescent="0.25">
      <c r="A14" s="19"/>
      <c r="D14" s="15" t="s">
        <v>29</v>
      </c>
      <c r="H14" s="11">
        <f>71500+1400</f>
        <v>72900</v>
      </c>
      <c r="I14" s="29"/>
      <c r="K14" s="2"/>
      <c r="L14" s="2"/>
      <c r="M14" s="15" t="s">
        <v>47</v>
      </c>
    </row>
    <row r="15" spans="1:13" x14ac:dyDescent="0.25">
      <c r="A15" s="19"/>
      <c r="D15" s="15" t="s">
        <v>43</v>
      </c>
      <c r="H15" s="11">
        <f>37050+3000</f>
        <v>40050</v>
      </c>
      <c r="I15" s="29"/>
      <c r="K15" s="2"/>
      <c r="L15" s="2"/>
      <c r="M15" s="15" t="s">
        <v>46</v>
      </c>
    </row>
    <row r="16" spans="1:13" x14ac:dyDescent="0.25">
      <c r="A16" s="19"/>
      <c r="D16" s="15" t="s">
        <v>37</v>
      </c>
      <c r="H16" s="11">
        <v>159570.35</v>
      </c>
      <c r="I16" s="29"/>
      <c r="K16" s="2"/>
      <c r="L16" s="30">
        <f>H16*$M$10</f>
        <v>19690.981189999999</v>
      </c>
      <c r="M16" s="15" t="s">
        <v>39</v>
      </c>
    </row>
    <row r="17" spans="1:13" x14ac:dyDescent="0.25">
      <c r="A17" s="19"/>
      <c r="D17" s="15" t="s">
        <v>38</v>
      </c>
      <c r="H17" s="11">
        <f>30442.82+4785.75</f>
        <v>35228.57</v>
      </c>
      <c r="I17" s="29"/>
      <c r="K17" s="2"/>
      <c r="L17" s="30">
        <f>H17*$M$10</f>
        <v>4347.2055380000002</v>
      </c>
      <c r="M17" s="15" t="s">
        <v>40</v>
      </c>
    </row>
    <row r="18" spans="1:13" x14ac:dyDescent="0.25">
      <c r="A18" s="19"/>
      <c r="D18" s="15" t="s">
        <v>44</v>
      </c>
      <c r="H18" s="11">
        <v>10000</v>
      </c>
      <c r="I18" s="24"/>
      <c r="K18" s="2"/>
      <c r="L18" s="2"/>
    </row>
    <row r="19" spans="1:13" x14ac:dyDescent="0.25">
      <c r="A19" s="19"/>
      <c r="D19" s="27" t="s">
        <v>45</v>
      </c>
      <c r="H19" s="11">
        <v>0</v>
      </c>
      <c r="I19" s="24"/>
      <c r="K19" s="2"/>
      <c r="L19" s="2"/>
    </row>
    <row r="20" spans="1:13" x14ac:dyDescent="0.25">
      <c r="A20" s="19"/>
      <c r="D20" s="24" t="s">
        <v>55</v>
      </c>
      <c r="H20" s="11">
        <v>128000</v>
      </c>
      <c r="I20" s="24"/>
      <c r="K20" s="2"/>
      <c r="L20" s="2"/>
    </row>
    <row r="21" spans="1:13" x14ac:dyDescent="0.25">
      <c r="A21" s="19"/>
      <c r="D21" s="31" t="s">
        <v>59</v>
      </c>
      <c r="H21" s="11">
        <v>145000</v>
      </c>
      <c r="I21" s="24"/>
      <c r="K21" s="2"/>
      <c r="L21" s="30">
        <f>H21*$M$10</f>
        <v>17893</v>
      </c>
    </row>
    <row r="22" spans="1:13" x14ac:dyDescent="0.25">
      <c r="A22" s="19"/>
      <c r="D22" s="44" t="s">
        <v>67</v>
      </c>
      <c r="H22" s="11">
        <v>20000</v>
      </c>
      <c r="I22" s="24"/>
      <c r="K22" s="2"/>
      <c r="L22" s="30"/>
    </row>
    <row r="23" spans="1:13" x14ac:dyDescent="0.25">
      <c r="A23" s="19"/>
      <c r="K23" s="11">
        <f>SUM(H12:H22)</f>
        <v>619748.91999999993</v>
      </c>
      <c r="L23" s="20"/>
    </row>
    <row r="24" spans="1:13" x14ac:dyDescent="0.25">
      <c r="A24" s="19"/>
      <c r="K24" s="2"/>
      <c r="L24" s="2"/>
    </row>
    <row r="25" spans="1:13" x14ac:dyDescent="0.25">
      <c r="A25" s="19">
        <f>+A11+1</f>
        <v>4</v>
      </c>
      <c r="B25" s="15" t="s">
        <v>17</v>
      </c>
    </row>
    <row r="26" spans="1:13" x14ac:dyDescent="0.25">
      <c r="A26" s="19"/>
      <c r="D26" s="15" t="s">
        <v>26</v>
      </c>
      <c r="K26" s="11">
        <f>8152.25-4000</f>
        <v>4152.25</v>
      </c>
      <c r="L26" s="2"/>
    </row>
    <row r="27" spans="1:13" x14ac:dyDescent="0.25">
      <c r="A27" s="19"/>
      <c r="D27" s="15" t="s">
        <v>2</v>
      </c>
      <c r="K27" s="11">
        <v>42100</v>
      </c>
      <c r="L27" s="30">
        <f t="shared" ref="L27:L29" si="0">K27*$M$10</f>
        <v>5195.1399999999994</v>
      </c>
    </row>
    <row r="28" spans="1:13" x14ac:dyDescent="0.25">
      <c r="A28" s="19"/>
      <c r="D28" s="25" t="s">
        <v>53</v>
      </c>
      <c r="K28" s="11">
        <v>73000</v>
      </c>
      <c r="L28" s="30">
        <f t="shared" si="0"/>
        <v>9008.1999999999989</v>
      </c>
      <c r="M28" s="16">
        <f>K28+K32+K34</f>
        <v>102000</v>
      </c>
    </row>
    <row r="29" spans="1:13" x14ac:dyDescent="0.25">
      <c r="A29" s="19"/>
      <c r="D29" s="31" t="s">
        <v>57</v>
      </c>
      <c r="K29" s="11">
        <v>32000</v>
      </c>
      <c r="L29" s="30">
        <f t="shared" si="0"/>
        <v>3948.7999999999997</v>
      </c>
      <c r="M29" s="16">
        <f>K29+K30</f>
        <v>42300</v>
      </c>
    </row>
    <row r="30" spans="1:13" x14ac:dyDescent="0.25">
      <c r="A30" s="19"/>
      <c r="D30" s="15" t="s">
        <v>27</v>
      </c>
      <c r="K30" s="11">
        <v>10300</v>
      </c>
      <c r="L30" s="20"/>
    </row>
    <row r="31" spans="1:13" x14ac:dyDescent="0.25">
      <c r="A31" s="19"/>
      <c r="D31" s="15" t="s">
        <v>28</v>
      </c>
      <c r="K31" s="11">
        <v>9763</v>
      </c>
      <c r="L31" s="20"/>
    </row>
    <row r="32" spans="1:13" x14ac:dyDescent="0.25">
      <c r="A32" s="19"/>
      <c r="D32" s="15" t="s">
        <v>3</v>
      </c>
      <c r="K32" s="11">
        <v>19000</v>
      </c>
      <c r="L32" s="2"/>
    </row>
    <row r="33" spans="1:20" x14ac:dyDescent="0.25">
      <c r="A33" s="19"/>
      <c r="H33" s="15"/>
      <c r="K33" s="15"/>
      <c r="L33" s="29"/>
      <c r="M33" s="16">
        <f>SUM(K26:K32)</f>
        <v>190315.25</v>
      </c>
      <c r="T33" s="16"/>
    </row>
    <row r="34" spans="1:20" x14ac:dyDescent="0.25">
      <c r="A34" s="19">
        <f>+A25+1</f>
        <v>5</v>
      </c>
      <c r="B34" s="15" t="s">
        <v>18</v>
      </c>
      <c r="K34" s="11">
        <v>10000</v>
      </c>
      <c r="L34" s="20"/>
      <c r="M34" s="16" t="s">
        <v>34</v>
      </c>
    </row>
    <row r="35" spans="1:20" x14ac:dyDescent="0.25">
      <c r="A35" s="19"/>
    </row>
    <row r="36" spans="1:20" x14ac:dyDescent="0.25">
      <c r="A36" s="19">
        <f>+A34+1</f>
        <v>6</v>
      </c>
      <c r="B36" s="15" t="s">
        <v>19</v>
      </c>
    </row>
    <row r="37" spans="1:20" x14ac:dyDescent="0.25">
      <c r="A37" s="19"/>
      <c r="D37" s="10" t="s">
        <v>49</v>
      </c>
      <c r="H37" s="11">
        <f>2429.82+13791.15+1000</f>
        <v>17220.97</v>
      </c>
      <c r="M37" s="16">
        <f>H37-2429.82</f>
        <v>14791.150000000001</v>
      </c>
      <c r="N37" s="25" t="s">
        <v>51</v>
      </c>
      <c r="O37" s="16">
        <f>H37-M37</f>
        <v>2429.8199999999997</v>
      </c>
      <c r="P37" s="26" t="s">
        <v>52</v>
      </c>
    </row>
    <row r="38" spans="1:20" x14ac:dyDescent="0.25">
      <c r="A38" s="19"/>
      <c r="D38" s="15" t="s">
        <v>4</v>
      </c>
      <c r="H38" s="11">
        <v>400</v>
      </c>
    </row>
    <row r="39" spans="1:20" x14ac:dyDescent="0.25">
      <c r="A39" s="19"/>
      <c r="D39" s="44" t="s">
        <v>66</v>
      </c>
      <c r="H39" s="11">
        <v>10000</v>
      </c>
    </row>
    <row r="40" spans="1:20" x14ac:dyDescent="0.25">
      <c r="A40" s="19"/>
      <c r="D40" s="44" t="s">
        <v>68</v>
      </c>
      <c r="H40" s="11">
        <v>10000</v>
      </c>
    </row>
    <row r="41" spans="1:20" x14ac:dyDescent="0.25">
      <c r="A41" s="19"/>
      <c r="K41" s="11">
        <f>SUM(H37:H40)</f>
        <v>37620.97</v>
      </c>
      <c r="L41" s="20"/>
    </row>
    <row r="42" spans="1:20" x14ac:dyDescent="0.25">
      <c r="A42" s="19"/>
    </row>
    <row r="43" spans="1:20" x14ac:dyDescent="0.25">
      <c r="A43" s="19">
        <f>A36+1</f>
        <v>7</v>
      </c>
      <c r="B43" s="15" t="s">
        <v>20</v>
      </c>
      <c r="H43" s="3"/>
      <c r="K43" s="4"/>
      <c r="L43" s="4"/>
    </row>
    <row r="44" spans="1:20" x14ac:dyDescent="0.25">
      <c r="A44" s="19"/>
      <c r="D44" s="15" t="s">
        <v>5</v>
      </c>
      <c r="H44" s="15"/>
      <c r="I44" s="17"/>
      <c r="K44" s="11">
        <v>30000</v>
      </c>
      <c r="L44" s="30">
        <f t="shared" ref="L44:L49" si="1">K44*$M$10</f>
        <v>3702</v>
      </c>
      <c r="M44" s="15" t="s">
        <v>33</v>
      </c>
    </row>
    <row r="45" spans="1:20" x14ac:dyDescent="0.25">
      <c r="A45" s="19"/>
      <c r="D45" s="15" t="s">
        <v>30</v>
      </c>
      <c r="H45" s="15"/>
      <c r="I45" s="17"/>
      <c r="K45" s="11">
        <f>62000-15000</f>
        <v>47000</v>
      </c>
      <c r="L45" s="30">
        <f t="shared" si="1"/>
        <v>5799.8</v>
      </c>
    </row>
    <row r="46" spans="1:20" x14ac:dyDescent="0.25">
      <c r="A46" s="19"/>
      <c r="D46" s="31" t="s">
        <v>56</v>
      </c>
      <c r="H46" s="15"/>
      <c r="I46" s="17"/>
      <c r="K46" s="11">
        <f>60500-15000</f>
        <v>45500</v>
      </c>
      <c r="L46" s="30">
        <f t="shared" si="1"/>
        <v>5614.7</v>
      </c>
      <c r="M46" s="15" t="s">
        <v>31</v>
      </c>
    </row>
    <row r="47" spans="1:20" x14ac:dyDescent="0.25">
      <c r="A47" s="19"/>
      <c r="D47" s="15" t="s">
        <v>6</v>
      </c>
      <c r="H47" s="15"/>
      <c r="I47" s="16"/>
      <c r="K47" s="11">
        <v>7500</v>
      </c>
      <c r="L47" s="30">
        <f t="shared" si="1"/>
        <v>925.5</v>
      </c>
      <c r="M47" s="15" t="s">
        <v>32</v>
      </c>
    </row>
    <row r="48" spans="1:20" x14ac:dyDescent="0.25">
      <c r="A48" s="19"/>
      <c r="D48" s="15" t="s">
        <v>7</v>
      </c>
      <c r="H48" s="15"/>
      <c r="K48" s="11">
        <v>3000</v>
      </c>
      <c r="L48" s="30">
        <f t="shared" si="1"/>
        <v>370.2</v>
      </c>
    </row>
    <row r="49" spans="1:15" x14ac:dyDescent="0.25">
      <c r="A49" s="19"/>
      <c r="D49" s="15" t="s">
        <v>8</v>
      </c>
      <c r="H49" s="15"/>
      <c r="K49" s="11">
        <v>2000</v>
      </c>
      <c r="L49" s="30">
        <f t="shared" si="1"/>
        <v>246.79999999999998</v>
      </c>
      <c r="M49" s="16">
        <f>SUM(K44:K49)</f>
        <v>135000</v>
      </c>
      <c r="O49" s="16"/>
    </row>
    <row r="50" spans="1:15" x14ac:dyDescent="0.25">
      <c r="A50" s="19"/>
      <c r="M50" s="16">
        <f>M49+M33</f>
        <v>325315.25</v>
      </c>
    </row>
    <row r="51" spans="1:15" x14ac:dyDescent="0.25">
      <c r="A51" s="19"/>
    </row>
    <row r="52" spans="1:15" x14ac:dyDescent="0.25">
      <c r="A52" s="19">
        <f>+A43+1</f>
        <v>8</v>
      </c>
      <c r="B52" s="15" t="s">
        <v>21</v>
      </c>
      <c r="K52" s="11">
        <v>2000</v>
      </c>
      <c r="L52" s="20"/>
    </row>
    <row r="53" spans="1:15" x14ac:dyDescent="0.25">
      <c r="A53" s="19"/>
    </row>
    <row r="54" spans="1:15" x14ac:dyDescent="0.25">
      <c r="D54" s="15" t="s">
        <v>9</v>
      </c>
      <c r="G54" s="21"/>
      <c r="K54" s="17">
        <f>SUM(K7:K53)</f>
        <v>999685.1399999999</v>
      </c>
      <c r="N54" s="16"/>
    </row>
    <row r="55" spans="1:15" x14ac:dyDescent="0.25">
      <c r="D55" s="15" t="s">
        <v>10</v>
      </c>
      <c r="I55" s="21">
        <v>0.1</v>
      </c>
      <c r="K55" s="18">
        <f>K54*I55</f>
        <v>99968.513999999996</v>
      </c>
      <c r="L55" s="34"/>
      <c r="M55" s="22"/>
    </row>
    <row r="56" spans="1:15" x14ac:dyDescent="0.25">
      <c r="D56" s="15" t="s">
        <v>11</v>
      </c>
      <c r="K56" s="17">
        <f>SUM(K54:K55)</f>
        <v>1099653.6539999999</v>
      </c>
      <c r="M56" s="33">
        <f>L64/K56</f>
        <v>7.3425233876411061E-2</v>
      </c>
    </row>
    <row r="57" spans="1:15" x14ac:dyDescent="0.25">
      <c r="M57" s="15">
        <f>(7.66*2)-(7.66+3.13)</f>
        <v>4.5300000000000011</v>
      </c>
      <c r="N57" s="31" t="s">
        <v>58</v>
      </c>
    </row>
    <row r="58" spans="1:15" x14ac:dyDescent="0.25">
      <c r="C58" s="15" t="s">
        <v>12</v>
      </c>
      <c r="I58" s="12"/>
      <c r="K58" s="17">
        <f>K56</f>
        <v>1099653.6539999999</v>
      </c>
      <c r="M58" s="16">
        <f>0.0766*2*K58</f>
        <v>168466.9397928</v>
      </c>
    </row>
    <row r="59" spans="1:15" x14ac:dyDescent="0.25">
      <c r="C59" s="46" t="s">
        <v>13</v>
      </c>
      <c r="I59" s="12"/>
      <c r="K59" s="47" t="s">
        <v>71</v>
      </c>
    </row>
    <row r="60" spans="1:15" x14ac:dyDescent="0.25">
      <c r="D60" s="46" t="s">
        <v>69</v>
      </c>
      <c r="I60" s="12"/>
      <c r="K60" s="17">
        <v>144198.32999999999</v>
      </c>
    </row>
    <row r="61" spans="1:15" x14ac:dyDescent="0.25">
      <c r="D61" s="46" t="s">
        <v>60</v>
      </c>
      <c r="I61" s="12"/>
      <c r="K61" s="17">
        <v>168520</v>
      </c>
    </row>
    <row r="62" spans="1:15" x14ac:dyDescent="0.25">
      <c r="D62" s="46" t="s">
        <v>70</v>
      </c>
      <c r="I62" s="12"/>
      <c r="K62" s="17">
        <v>0</v>
      </c>
    </row>
    <row r="63" spans="1:15" x14ac:dyDescent="0.25">
      <c r="I63" s="12"/>
    </row>
    <row r="64" spans="1:15" x14ac:dyDescent="0.25">
      <c r="B64" s="1" t="s">
        <v>14</v>
      </c>
      <c r="C64" s="1"/>
      <c r="D64" s="1"/>
      <c r="E64" s="1"/>
      <c r="F64" s="1"/>
      <c r="G64" s="1"/>
      <c r="H64" s="5"/>
      <c r="I64" s="1"/>
      <c r="J64" s="1"/>
      <c r="K64" s="6">
        <f>K58-SUM(K60:K62)</f>
        <v>786935.32399999991</v>
      </c>
      <c r="L64" s="6">
        <f>SUM(L7:L55)</f>
        <v>80742.326728</v>
      </c>
      <c r="M64" s="32">
        <f>0.1566*K64</f>
        <v>123234.07173839997</v>
      </c>
    </row>
    <row r="66" spans="9:12" x14ac:dyDescent="0.25">
      <c r="I66" s="1"/>
      <c r="J66" s="1"/>
      <c r="K66" s="36" t="s">
        <v>62</v>
      </c>
      <c r="L66" s="37">
        <f>L64/K64</f>
        <v>0.10260351043537602</v>
      </c>
    </row>
    <row r="67" spans="9:12" x14ac:dyDescent="0.25">
      <c r="I67" s="41"/>
      <c r="J67" s="41"/>
      <c r="K67" s="38" t="s">
        <v>63</v>
      </c>
      <c r="L67" s="39">
        <v>7.6600000000000001E-2</v>
      </c>
    </row>
    <row r="68" spans="9:12" x14ac:dyDescent="0.25">
      <c r="K68" s="42" t="s">
        <v>64</v>
      </c>
      <c r="L68" s="40">
        <f>SUM(L66:L67)</f>
        <v>0.17920351043537602</v>
      </c>
    </row>
    <row r="69" spans="9:12" x14ac:dyDescent="0.25">
      <c r="K69" s="42" t="s">
        <v>65</v>
      </c>
      <c r="L69" s="6">
        <f>L68*K64</f>
        <v>141021.57254639998</v>
      </c>
    </row>
  </sheetData>
  <mergeCells count="1">
    <mergeCell ref="A1:K1"/>
  </mergeCells>
  <pageMargins left="0.25" right="0.25" top="0.75" bottom="0.75" header="0.3" footer="0.3"/>
  <pageSetup paperSize="5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4E3F1-D07B-4D73-9869-D1B3C77788C8}">
  <dimension ref="C10:D27"/>
  <sheetViews>
    <sheetView topLeftCell="A10" workbookViewId="0">
      <selection activeCell="F22" sqref="F22"/>
    </sheetView>
  </sheetViews>
  <sheetFormatPr defaultRowHeight="12.75" x14ac:dyDescent="0.2"/>
  <cols>
    <col min="2" max="2" width="11.28515625" bestFit="1" customWidth="1"/>
    <col min="3" max="3" width="10.140625" bestFit="1" customWidth="1"/>
    <col min="4" max="4" width="9.85546875" bestFit="1" customWidth="1"/>
  </cols>
  <sheetData>
    <row r="10" spans="3:4" x14ac:dyDescent="0.2">
      <c r="C10" s="7" t="s">
        <v>22</v>
      </c>
      <c r="D10" s="7"/>
    </row>
    <row r="11" spans="3:4" x14ac:dyDescent="0.2">
      <c r="C11" s="7" t="s">
        <v>23</v>
      </c>
      <c r="D11" s="7" t="s">
        <v>24</v>
      </c>
    </row>
    <row r="12" spans="3:4" ht="15.75" x14ac:dyDescent="0.25">
      <c r="C12" s="7">
        <v>70165</v>
      </c>
      <c r="D12" s="13">
        <v>1597.15</v>
      </c>
    </row>
    <row r="13" spans="3:4" ht="15.75" x14ac:dyDescent="0.25">
      <c r="C13" s="9">
        <v>11673</v>
      </c>
      <c r="D13" s="13">
        <v>963.04</v>
      </c>
    </row>
    <row r="14" spans="3:4" ht="15.75" x14ac:dyDescent="0.25">
      <c r="C14" s="7">
        <v>12077</v>
      </c>
      <c r="D14" s="13">
        <v>1421.75</v>
      </c>
    </row>
    <row r="15" spans="3:4" ht="15.75" x14ac:dyDescent="0.25">
      <c r="C15" s="7">
        <v>422</v>
      </c>
      <c r="D15" s="13">
        <v>1432.65</v>
      </c>
    </row>
    <row r="16" spans="3:4" ht="15.75" x14ac:dyDescent="0.25">
      <c r="C16" s="7">
        <v>11508</v>
      </c>
      <c r="D16" s="13">
        <v>1100</v>
      </c>
    </row>
    <row r="17" spans="3:4" ht="15.75" x14ac:dyDescent="0.25">
      <c r="C17" s="7">
        <v>835</v>
      </c>
      <c r="D17" s="13">
        <v>5400</v>
      </c>
    </row>
    <row r="18" spans="3:4" ht="15.75" x14ac:dyDescent="0.25">
      <c r="C18" s="7">
        <v>10896</v>
      </c>
      <c r="D18" s="13">
        <v>80</v>
      </c>
    </row>
    <row r="19" spans="3:4" ht="15.75" x14ac:dyDescent="0.25">
      <c r="C19" s="7">
        <v>11085</v>
      </c>
      <c r="D19" s="13">
        <v>175</v>
      </c>
    </row>
    <row r="20" spans="3:4" x14ac:dyDescent="0.2">
      <c r="C20" s="7">
        <v>890703</v>
      </c>
      <c r="D20" s="8">
        <v>189.4</v>
      </c>
    </row>
    <row r="21" spans="3:4" x14ac:dyDescent="0.2">
      <c r="C21" s="7">
        <v>890703</v>
      </c>
      <c r="D21" s="8">
        <v>60</v>
      </c>
    </row>
    <row r="22" spans="3:4" x14ac:dyDescent="0.2">
      <c r="C22" s="7">
        <v>70217</v>
      </c>
      <c r="D22" s="8">
        <v>646.25</v>
      </c>
    </row>
    <row r="23" spans="3:4" x14ac:dyDescent="0.2">
      <c r="C23" s="7">
        <v>5559</v>
      </c>
      <c r="D23" s="8">
        <v>185</v>
      </c>
    </row>
    <row r="24" spans="3:4" x14ac:dyDescent="0.2">
      <c r="C24" s="7">
        <v>11724</v>
      </c>
      <c r="D24" s="8">
        <v>1316.6</v>
      </c>
    </row>
    <row r="25" spans="3:4" x14ac:dyDescent="0.2">
      <c r="C25" s="7">
        <v>12034</v>
      </c>
      <c r="D25" s="8">
        <v>195</v>
      </c>
    </row>
    <row r="26" spans="3:4" x14ac:dyDescent="0.2">
      <c r="C26" s="7">
        <v>12133</v>
      </c>
      <c r="D26" s="8">
        <v>310</v>
      </c>
    </row>
    <row r="27" spans="3:4" x14ac:dyDescent="0.2">
      <c r="D27" s="14">
        <f>SUM(D12:D26)</f>
        <v>15071.84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Computation of Costs</vt:lpstr>
      <vt:lpstr>Sheet1</vt:lpstr>
      <vt:lpstr>'Computation of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Thelen, Mitch K.</dc:creator>
  <cp:lastModifiedBy>Administrator</cp:lastModifiedBy>
  <cp:lastPrinted>2021-02-12T16:50:16Z</cp:lastPrinted>
  <dcterms:created xsi:type="dcterms:W3CDTF">2017-05-01T15:45:21Z</dcterms:created>
  <dcterms:modified xsi:type="dcterms:W3CDTF">2021-02-16T16:16:54Z</dcterms:modified>
</cp:coreProperties>
</file>